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ncingbusinesspark.sharepoint.com/LBP/Sponsorship/Sponsor's Details/Rivervale Leasing Ltd/Electric Car Article/"/>
    </mc:Choice>
  </mc:AlternateContent>
  <xr:revisionPtr revIDLastSave="268" documentId="8_{6056A120-8B4F-4CCA-8EC4-9546528BA1FC}" xr6:coauthVersionLast="47" xr6:coauthVersionMax="47" xr10:uidLastSave="{B2599FDE-8426-47D6-8653-56A3A95A1E88}"/>
  <bookViews>
    <workbookView xWindow="-120" yWindow="-120" windowWidth="20730" windowHeight="11160" xr2:uid="{C02090FD-8F2F-41C0-9D91-C21C8BA3A136}"/>
  </bookViews>
  <sheets>
    <sheet name="Sheet1" sheetId="1" r:id="rId1"/>
  </sheets>
  <definedNames>
    <definedName name="_xlnm.Print_Area" localSheetId="0">Sheet1!$A$1:$Y$14</definedName>
    <definedName name="_xlnm.Print_Titles" localSheetId="0">Sheet1!$A:$C,Sheet1!$1:$1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V10" i="1"/>
  <c r="U10" i="1"/>
  <c r="T10" i="1"/>
  <c r="W9" i="1"/>
  <c r="W10" i="1" s="1"/>
  <c r="V7" i="1"/>
  <c r="U7" i="1"/>
  <c r="T7" i="1"/>
  <c r="W6" i="1"/>
  <c r="W7" i="1" s="1"/>
  <c r="W5" i="1"/>
  <c r="V4" i="1"/>
  <c r="U4" i="1"/>
  <c r="T4" i="1"/>
  <c r="W3" i="1"/>
  <c r="W2" i="1"/>
  <c r="N2" i="1"/>
  <c r="N3" i="1"/>
  <c r="N6" i="1"/>
  <c r="N4" i="1" l="1"/>
  <c r="W4" i="1"/>
  <c r="P9" i="1"/>
  <c r="Q9" i="1" s="1"/>
  <c r="Q10" i="1" s="1"/>
  <c r="R10" i="1" s="1"/>
  <c r="P6" i="1"/>
  <c r="Q6" i="1" s="1"/>
  <c r="Q7" i="1" s="1"/>
  <c r="R7" i="1" s="1"/>
  <c r="P3" i="1"/>
  <c r="Q3" i="1" s="1"/>
  <c r="R3" i="1" s="1"/>
  <c r="R5" i="1"/>
  <c r="R8" i="1"/>
  <c r="R2" i="1"/>
  <c r="N5" i="1"/>
  <c r="N8" i="1"/>
  <c r="N9" i="1"/>
  <c r="R6" i="1" l="1"/>
  <c r="Q4" i="1"/>
  <c r="R4" i="1" s="1"/>
  <c r="R9" i="1"/>
  <c r="N10" i="1"/>
  <c r="N7" i="1"/>
  <c r="O4" i="1"/>
  <c r="O10" i="1" l="1"/>
  <c r="S10" i="1" s="1"/>
  <c r="X10" i="1" s="1"/>
  <c r="O7" i="1"/>
  <c r="S7" i="1" s="1"/>
  <c r="X7" i="1" s="1"/>
  <c r="S4" i="1"/>
  <c r="X4" i="1" s="1"/>
</calcChain>
</file>

<file path=xl/sharedStrings.xml><?xml version="1.0" encoding="utf-8"?>
<sst xmlns="http://schemas.openxmlformats.org/spreadsheetml/2006/main" count="71" uniqueCount="62">
  <si>
    <t>Make</t>
  </si>
  <si>
    <t>Model</t>
  </si>
  <si>
    <t>Miles per gallon</t>
  </si>
  <si>
    <t>Miles Per Charge</t>
  </si>
  <si>
    <t>Option Type</t>
  </si>
  <si>
    <t>Mid-Range</t>
  </si>
  <si>
    <t>Executive</t>
  </si>
  <si>
    <t>Ford</t>
  </si>
  <si>
    <t>Petrol</t>
  </si>
  <si>
    <t>Volkswagen</t>
  </si>
  <si>
    <t>Id.3 Electric - 150kW Life Pro Performance 62KWh 5dr Auto Electric Hatchback</t>
  </si>
  <si>
    <t>Mercedes</t>
  </si>
  <si>
    <t xml:space="preserve">Tesla </t>
  </si>
  <si>
    <t>Model 3 Standard Plus 4dr Auto</t>
  </si>
  <si>
    <t>Electric</t>
  </si>
  <si>
    <t>Diesel</t>
  </si>
  <si>
    <t>Small / Economical</t>
  </si>
  <si>
    <t>https://www.fleetnews.co.uk/costs/fuel-cost-calculator/?FuelType=0</t>
  </si>
  <si>
    <t>https://www.carmagazine.co.uk/electric/how-much-ev-charging-and-running-cost/</t>
  </si>
  <si>
    <t>Cost To Charge Battery</t>
  </si>
  <si>
    <t>Difference from Lease &amp; Fuel Per Year</t>
  </si>
  <si>
    <t>Engine Type</t>
  </si>
  <si>
    <t>Insurance Group</t>
  </si>
  <si>
    <t>36E</t>
  </si>
  <si>
    <t>48D</t>
  </si>
  <si>
    <t>* Assumes unleaded</t>
  </si>
  <si>
    <t>Engine Ltr  / 
Power KW</t>
  </si>
  <si>
    <t>** Assumes 12p per KWH (home charge)</t>
  </si>
  <si>
    <t>23E</t>
  </si>
  <si>
    <t>Rapid Charge Time (minutes)</t>
  </si>
  <si>
    <t>Fast Charge Time (minutes)</t>
  </si>
  <si>
    <t>Slow Charge Time (minutes)</t>
  </si>
  <si>
    <t>Up Front Lease Cost +VAT</t>
  </si>
  <si>
    <t>Total 3yr Lease Cost +VAT</t>
  </si>
  <si>
    <t>Fuel Cost per 1000 miles Inc. VAT</t>
  </si>
  <si>
    <t>Fuel Cost per 10,000 miles Inc. VAT</t>
  </si>
  <si>
    <t>11E</t>
  </si>
  <si>
    <t>Per-month for 35 Payments +VAT</t>
  </si>
  <si>
    <t>21E</t>
  </si>
  <si>
    <t>N</t>
  </si>
  <si>
    <t>Nissan</t>
  </si>
  <si>
    <t>Fiesta 1-Ecoboost-Titanium-5dr</t>
  </si>
  <si>
    <t>Leaf 110kw-acenta-40kwh-5dr-auto-6.6kw-charger</t>
  </si>
  <si>
    <t>Golf 2-tdi-200-gtd-5dr-dsg</t>
  </si>
  <si>
    <t>27E</t>
  </si>
  <si>
    <t>Benefit In Kind 
Yr1 Tax</t>
  </si>
  <si>
    <t>Benefit In Kind 
Yr2 Tax</t>
  </si>
  <si>
    <t>Benefit In Kind 
Yr3 Tax</t>
  </si>
  <si>
    <t>Total BIK Tax 
Over 3 yrs</t>
  </si>
  <si>
    <t>*** Assumes 20% Tax Bracket</t>
  </si>
  <si>
    <t>*   ***</t>
  </si>
  <si>
    <t>**   ***</t>
  </si>
  <si>
    <t>Difference from Lease, Fuel &amp; BIK over 3yrs</t>
  </si>
  <si>
    <t>E Class E200 AMG Line 4Dr 9G Tronic</t>
  </si>
  <si>
    <t>*   ****</t>
  </si>
  <si>
    <t>**   ****</t>
  </si>
  <si>
    <t>**** Assumes 40% Tax Bracket</t>
  </si>
  <si>
    <t>https://www.goultralow.com/car-tax-calculator/</t>
  </si>
  <si>
    <t xml:space="preserve">All assume 10K miles per year, 6 months initial payment &amp; 36 monthly payments with Servicing and VAT included </t>
  </si>
  <si>
    <t>Lease Difference Per Year</t>
  </si>
  <si>
    <t>Reference Links:</t>
  </si>
  <si>
    <t>Saving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</si>
</sst>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5" fillId="0" borderId="1" xfId="1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1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12</xdr:row>
      <xdr:rowOff>36583</xdr:rowOff>
    </xdr:from>
    <xdr:to>
      <xdr:col>1</xdr:col>
      <xdr:colOff>352425</xdr:colOff>
      <xdr:row>13</xdr:row>
      <xdr:rowOff>219073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C4C94F-E23A-48EA-9EC3-93687D8FF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494533"/>
          <a:ext cx="790575" cy="44919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10</xdr:row>
      <xdr:rowOff>96655</xdr:rowOff>
    </xdr:from>
    <xdr:to>
      <xdr:col>1</xdr:col>
      <xdr:colOff>371475</xdr:colOff>
      <xdr:row>11</xdr:row>
      <xdr:rowOff>237031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17B6215-2F06-4A5E-903F-DE1F47831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6011680"/>
          <a:ext cx="828675" cy="416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rmagazine.co.uk/electric/how-much-ev-charging-and-running-cost/" TargetMode="External"/><Relationship Id="rId3" Type="http://schemas.openxmlformats.org/officeDocument/2006/relationships/hyperlink" Target="https://www.rivervaleleasing.co.uk/car-leasing/volkswagen/id_3/150kw-life-pro-performance-62kwh-5dr-auto-95708" TargetMode="External"/><Relationship Id="rId7" Type="http://schemas.openxmlformats.org/officeDocument/2006/relationships/hyperlink" Target="https://www.fleetnews.co.uk/costs/fuel-cost-calculator/?FuelType=0" TargetMode="External"/><Relationship Id="rId2" Type="http://schemas.openxmlformats.org/officeDocument/2006/relationships/hyperlink" Target="https://www.rivervaleleasing.co.uk/car-leasing/tesla/model-3/standard-plus-4dr-auto-89347" TargetMode="External"/><Relationship Id="rId1" Type="http://schemas.openxmlformats.org/officeDocument/2006/relationships/hyperlink" Target="https://www.rivervaleleasing.co.uk/car-leasing/mercedes-benz/e-class/e200-amg-line-4dr-9g-tronic-94357" TargetMode="External"/><Relationship Id="rId6" Type="http://schemas.openxmlformats.org/officeDocument/2006/relationships/hyperlink" Target="https://www.rivervaleleasing.co.uk/car-leasing/volkswagen/golf/2-tdi-200-gtd-5dr-dsg-95328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rivervaleleasing.co.uk/car-leasing/nissan/leaf/110kw-acenta-40kwh-5dr-auto-6_6kw-charger-90456_24825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rivervaleleasing.co.uk/car-leasing/ford/fiesta/1-ecoboost-titanium-5dr-78844" TargetMode="External"/><Relationship Id="rId9" Type="http://schemas.openxmlformats.org/officeDocument/2006/relationships/hyperlink" Target="https://www.goultralow.com/car-tax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04FF5-32AF-4AF3-A2F7-364564C2CB1C}">
  <dimension ref="A1:AA21"/>
  <sheetViews>
    <sheetView tabSelected="1" workbookViewId="0">
      <pane ySplit="1" topLeftCell="A2" activePane="bottomLeft" state="frozen"/>
      <selection activeCell="B1" sqref="B1"/>
      <selection pane="bottomLeft" activeCell="K15" sqref="K15"/>
    </sheetView>
  </sheetViews>
  <sheetFormatPr defaultColWidth="10" defaultRowHeight="15" x14ac:dyDescent="0.25"/>
  <cols>
    <col min="1" max="1" width="10.140625" style="1" customWidth="1"/>
    <col min="2" max="2" width="10" style="8" customWidth="1"/>
    <col min="3" max="3" width="13.85546875" style="1" customWidth="1"/>
    <col min="4" max="4" width="6.5703125" style="1" customWidth="1"/>
    <col min="5" max="5" width="8.28515625" style="8" customWidth="1"/>
    <col min="6" max="6" width="9.28515625" style="8" customWidth="1"/>
    <col min="7" max="7" width="9.140625" style="8" customWidth="1"/>
    <col min="8" max="10" width="10" style="8" customWidth="1"/>
    <col min="11" max="11" width="10" style="1" customWidth="1"/>
    <col min="12" max="12" width="9.42578125" style="1" customWidth="1"/>
    <col min="13" max="13" width="8.85546875" style="1" customWidth="1"/>
    <col min="14" max="14" width="10" style="1" customWidth="1"/>
    <col min="15" max="15" width="9.140625" style="1" customWidth="1"/>
    <col min="16" max="17" width="10" style="1" customWidth="1"/>
    <col min="18" max="18" width="10" style="29" customWidth="1"/>
    <col min="19" max="22" width="10" style="1"/>
    <col min="23" max="23" width="11.140625" style="1" customWidth="1"/>
    <col min="24" max="24" width="11.28515625" style="1" customWidth="1"/>
    <col min="25" max="16384" width="10" style="1"/>
  </cols>
  <sheetData>
    <row r="1" spans="1:27" s="8" customFormat="1" ht="60.75" customHeight="1" x14ac:dyDescent="0.25">
      <c r="A1" s="2" t="s">
        <v>4</v>
      </c>
      <c r="B1" s="2" t="s">
        <v>0</v>
      </c>
      <c r="C1" s="2" t="s">
        <v>1</v>
      </c>
      <c r="D1" s="2" t="s">
        <v>21</v>
      </c>
      <c r="E1" s="2" t="s">
        <v>26</v>
      </c>
      <c r="F1" s="2" t="s">
        <v>22</v>
      </c>
      <c r="G1" s="2" t="s">
        <v>2</v>
      </c>
      <c r="H1" s="2" t="s">
        <v>3</v>
      </c>
      <c r="I1" s="2" t="s">
        <v>29</v>
      </c>
      <c r="J1" s="2" t="s">
        <v>30</v>
      </c>
      <c r="K1" s="2" t="s">
        <v>31</v>
      </c>
      <c r="L1" s="2" t="s">
        <v>32</v>
      </c>
      <c r="M1" s="2" t="s">
        <v>37</v>
      </c>
      <c r="N1" s="2" t="s">
        <v>33</v>
      </c>
      <c r="O1" s="35" t="s">
        <v>59</v>
      </c>
      <c r="P1" s="2" t="s">
        <v>19</v>
      </c>
      <c r="Q1" s="2" t="s">
        <v>34</v>
      </c>
      <c r="R1" s="2" t="s">
        <v>35</v>
      </c>
      <c r="S1" s="35" t="s">
        <v>20</v>
      </c>
      <c r="T1" s="2" t="s">
        <v>45</v>
      </c>
      <c r="U1" s="2" t="s">
        <v>46</v>
      </c>
      <c r="V1" s="2" t="s">
        <v>47</v>
      </c>
      <c r="W1" s="2" t="s">
        <v>48</v>
      </c>
      <c r="X1" s="35" t="s">
        <v>52</v>
      </c>
    </row>
    <row r="2" spans="1:27" ht="43.5" customHeight="1" x14ac:dyDescent="0.25">
      <c r="A2" s="43" t="s">
        <v>16</v>
      </c>
      <c r="B2" s="3" t="s">
        <v>7</v>
      </c>
      <c r="C2" s="14" t="s">
        <v>41</v>
      </c>
      <c r="D2" s="3" t="s">
        <v>8</v>
      </c>
      <c r="E2" s="18">
        <v>1</v>
      </c>
      <c r="F2" s="21" t="s">
        <v>36</v>
      </c>
      <c r="G2" s="18">
        <v>50.4</v>
      </c>
      <c r="H2" s="15"/>
      <c r="I2" s="15"/>
      <c r="J2" s="15"/>
      <c r="K2" s="16"/>
      <c r="L2" s="22">
        <v>1471.44</v>
      </c>
      <c r="M2" s="22">
        <v>245.24</v>
      </c>
      <c r="N2" s="22">
        <f>(M2*35)+L2</f>
        <v>10054.84</v>
      </c>
      <c r="O2" s="15"/>
      <c r="P2" s="15"/>
      <c r="Q2" s="22">
        <v>112.2</v>
      </c>
      <c r="R2" s="22">
        <f>Q2*10</f>
        <v>1122</v>
      </c>
      <c r="S2" s="4"/>
      <c r="T2" s="33">
        <v>981</v>
      </c>
      <c r="U2" s="33">
        <v>1017</v>
      </c>
      <c r="V2" s="33">
        <v>1017</v>
      </c>
      <c r="W2" s="33">
        <f>SUM(T2:V2)</f>
        <v>3015</v>
      </c>
      <c r="X2" s="24"/>
      <c r="Y2" s="1" t="s">
        <v>50</v>
      </c>
      <c r="Z2" s="14"/>
      <c r="AA2" s="14"/>
    </row>
    <row r="3" spans="1:27" ht="61.5" customHeight="1" x14ac:dyDescent="0.25">
      <c r="A3" s="44"/>
      <c r="B3" s="18" t="s">
        <v>40</v>
      </c>
      <c r="C3" s="12" t="s">
        <v>42</v>
      </c>
      <c r="D3" s="21" t="s">
        <v>14</v>
      </c>
      <c r="E3" s="21">
        <v>40</v>
      </c>
      <c r="F3" s="18" t="s">
        <v>38</v>
      </c>
      <c r="G3" s="15"/>
      <c r="H3" s="18">
        <v>168</v>
      </c>
      <c r="I3" s="27" t="s">
        <v>39</v>
      </c>
      <c r="J3" s="27" t="s">
        <v>39</v>
      </c>
      <c r="K3" s="27">
        <v>450</v>
      </c>
      <c r="L3" s="22">
        <v>1220.04</v>
      </c>
      <c r="M3" s="22">
        <v>203.34</v>
      </c>
      <c r="N3" s="22">
        <f t="shared" ref="N3:N9" si="0">(M3*35)+L3</f>
        <v>8336.94</v>
      </c>
      <c r="O3" s="15"/>
      <c r="P3" s="23">
        <f>E3*0.12</f>
        <v>4.8</v>
      </c>
      <c r="Q3" s="22">
        <f>P3/H3*1000</f>
        <v>28.571428571428569</v>
      </c>
      <c r="R3" s="22">
        <f t="shared" ref="R3:R10" si="1">Q3*10</f>
        <v>285.71428571428567</v>
      </c>
      <c r="S3" s="19"/>
      <c r="T3" s="23">
        <v>60</v>
      </c>
      <c r="U3" s="23">
        <v>119</v>
      </c>
      <c r="V3" s="23">
        <v>119</v>
      </c>
      <c r="W3" s="33">
        <f>SUM(T3:V3)</f>
        <v>298</v>
      </c>
      <c r="X3" s="34"/>
      <c r="Y3" s="1" t="s">
        <v>51</v>
      </c>
    </row>
    <row r="4" spans="1:27" ht="21.75" customHeight="1" x14ac:dyDescent="0.25">
      <c r="A4" s="36" t="s">
        <v>61</v>
      </c>
      <c r="B4" s="15"/>
      <c r="C4" s="16"/>
      <c r="D4" s="15"/>
      <c r="E4" s="15"/>
      <c r="F4" s="15"/>
      <c r="G4" s="15"/>
      <c r="H4" s="15"/>
      <c r="I4" s="25"/>
      <c r="J4" s="25"/>
      <c r="K4" s="26"/>
      <c r="L4" s="17"/>
      <c r="M4" s="24"/>
      <c r="N4" s="24">
        <f>N3-N2</f>
        <v>-1717.8999999999996</v>
      </c>
      <c r="O4" s="36">
        <f>N4/3</f>
        <v>-572.63333333333321</v>
      </c>
      <c r="P4" s="24"/>
      <c r="Q4" s="24">
        <f>Q3-Q2</f>
        <v>-83.628571428571433</v>
      </c>
      <c r="R4" s="24">
        <f t="shared" si="1"/>
        <v>-836.28571428571433</v>
      </c>
      <c r="S4" s="37">
        <f>O4+R4</f>
        <v>-1408.9190476190474</v>
      </c>
      <c r="T4" s="24">
        <f>T3-T2</f>
        <v>-921</v>
      </c>
      <c r="U4" s="24">
        <f>U3-U2</f>
        <v>-898</v>
      </c>
      <c r="V4" s="24">
        <f>V3-V2</f>
        <v>-898</v>
      </c>
      <c r="W4" s="24">
        <f>W3-W2</f>
        <v>-2717</v>
      </c>
      <c r="X4" s="36">
        <f>SUM(S4*3)+W4</f>
        <v>-6943.7571428571428</v>
      </c>
    </row>
    <row r="5" spans="1:27" ht="39.75" customHeight="1" x14ac:dyDescent="0.25">
      <c r="A5" s="45" t="s">
        <v>5</v>
      </c>
      <c r="B5" s="18" t="s">
        <v>9</v>
      </c>
      <c r="C5" s="31" t="s">
        <v>43</v>
      </c>
      <c r="D5" s="18" t="s">
        <v>15</v>
      </c>
      <c r="E5" s="18">
        <v>2</v>
      </c>
      <c r="F5" s="21" t="s">
        <v>44</v>
      </c>
      <c r="G5" s="18">
        <v>54.3</v>
      </c>
      <c r="H5" s="15"/>
      <c r="I5" s="25"/>
      <c r="J5" s="25"/>
      <c r="K5" s="26"/>
      <c r="L5" s="22">
        <v>1685.82</v>
      </c>
      <c r="M5" s="22">
        <v>280.97000000000003</v>
      </c>
      <c r="N5" s="22">
        <f t="shared" si="0"/>
        <v>11519.77</v>
      </c>
      <c r="O5" s="15"/>
      <c r="P5" s="15"/>
      <c r="Q5" s="22">
        <v>105.93</v>
      </c>
      <c r="R5" s="22">
        <f t="shared" si="1"/>
        <v>1059.3000000000002</v>
      </c>
      <c r="S5" s="19"/>
      <c r="T5" s="23">
        <v>2016</v>
      </c>
      <c r="U5" s="23">
        <v>2081</v>
      </c>
      <c r="V5" s="23">
        <v>2081</v>
      </c>
      <c r="W5" s="33">
        <f>SUM(T5:V5)</f>
        <v>6178</v>
      </c>
      <c r="X5" s="20"/>
      <c r="Y5" s="1" t="s">
        <v>50</v>
      </c>
    </row>
    <row r="6" spans="1:27" ht="96" customHeight="1" x14ac:dyDescent="0.25">
      <c r="A6" s="46"/>
      <c r="B6" s="18" t="s">
        <v>9</v>
      </c>
      <c r="C6" s="32" t="s">
        <v>10</v>
      </c>
      <c r="D6" s="21" t="s">
        <v>14</v>
      </c>
      <c r="E6" s="21">
        <v>58</v>
      </c>
      <c r="F6" s="18" t="s">
        <v>28</v>
      </c>
      <c r="G6" s="15"/>
      <c r="H6" s="18">
        <v>263</v>
      </c>
      <c r="I6" s="27">
        <v>35</v>
      </c>
      <c r="J6" s="27">
        <v>375</v>
      </c>
      <c r="K6" s="27">
        <v>570</v>
      </c>
      <c r="L6" s="22">
        <v>1673.52</v>
      </c>
      <c r="M6" s="22">
        <v>278.92</v>
      </c>
      <c r="N6" s="22">
        <f>(M6*35)+L6</f>
        <v>11435.720000000001</v>
      </c>
      <c r="O6" s="15"/>
      <c r="P6" s="23">
        <f>E6*0.12</f>
        <v>6.96</v>
      </c>
      <c r="Q6" s="22">
        <f>P6/H6*1000</f>
        <v>26.463878326996198</v>
      </c>
      <c r="R6" s="22">
        <f t="shared" si="1"/>
        <v>264.638783269962</v>
      </c>
      <c r="S6" s="16"/>
      <c r="T6" s="23">
        <v>66</v>
      </c>
      <c r="U6" s="23">
        <v>132</v>
      </c>
      <c r="V6" s="23">
        <v>132</v>
      </c>
      <c r="W6" s="33">
        <f>SUM(T6:V6)</f>
        <v>330</v>
      </c>
      <c r="X6" s="15"/>
      <c r="Y6" s="1" t="s">
        <v>51</v>
      </c>
    </row>
    <row r="7" spans="1:27" ht="22.5" customHeight="1" x14ac:dyDescent="0.25">
      <c r="A7" s="36" t="s">
        <v>61</v>
      </c>
      <c r="B7" s="15"/>
      <c r="C7" s="16"/>
      <c r="D7" s="15"/>
      <c r="E7" s="15"/>
      <c r="F7" s="15"/>
      <c r="G7" s="15"/>
      <c r="H7" s="15"/>
      <c r="I7" s="25"/>
      <c r="J7" s="25"/>
      <c r="K7" s="26"/>
      <c r="L7" s="17"/>
      <c r="M7" s="24"/>
      <c r="N7" s="24">
        <f>N6-N5</f>
        <v>-84.049999999999272</v>
      </c>
      <c r="O7" s="36">
        <f>N7/3</f>
        <v>-28.016666666666424</v>
      </c>
      <c r="P7" s="24"/>
      <c r="Q7" s="24">
        <f>Q6-Q5</f>
        <v>-79.466121673003812</v>
      </c>
      <c r="R7" s="24">
        <f t="shared" si="1"/>
        <v>-794.66121673003818</v>
      </c>
      <c r="S7" s="36">
        <f>O7+R7</f>
        <v>-822.6778833967046</v>
      </c>
      <c r="T7" s="24">
        <f>T6-T5</f>
        <v>-1950</v>
      </c>
      <c r="U7" s="24">
        <f>U6-U5</f>
        <v>-1949</v>
      </c>
      <c r="V7" s="24">
        <f>V6-V5</f>
        <v>-1949</v>
      </c>
      <c r="W7" s="24">
        <f>W6-W5</f>
        <v>-5848</v>
      </c>
      <c r="X7" s="36">
        <f>SUM(S7*3)+W7</f>
        <v>-8316.0336501901147</v>
      </c>
    </row>
    <row r="8" spans="1:27" ht="51.75" customHeight="1" x14ac:dyDescent="0.25">
      <c r="A8" s="45" t="s">
        <v>6</v>
      </c>
      <c r="B8" s="18" t="s">
        <v>11</v>
      </c>
      <c r="C8" s="12" t="s">
        <v>53</v>
      </c>
      <c r="D8" s="18" t="s">
        <v>8</v>
      </c>
      <c r="E8" s="18">
        <v>2</v>
      </c>
      <c r="F8" s="21" t="s">
        <v>23</v>
      </c>
      <c r="G8" s="18">
        <v>39.200000000000003</v>
      </c>
      <c r="H8" s="15"/>
      <c r="I8" s="25"/>
      <c r="J8" s="25"/>
      <c r="K8" s="26"/>
      <c r="L8" s="22">
        <v>3433.5</v>
      </c>
      <c r="M8" s="22">
        <v>572.25</v>
      </c>
      <c r="N8" s="22">
        <f t="shared" si="0"/>
        <v>23462.25</v>
      </c>
      <c r="O8" s="15"/>
      <c r="P8" s="15"/>
      <c r="Q8" s="22">
        <v>143.84</v>
      </c>
      <c r="R8" s="22">
        <f t="shared" si="1"/>
        <v>1438.4</v>
      </c>
      <c r="S8" s="19"/>
      <c r="T8" s="23">
        <v>5999</v>
      </c>
      <c r="U8" s="23">
        <v>5999</v>
      </c>
      <c r="V8" s="23">
        <v>5999</v>
      </c>
      <c r="W8" s="33">
        <f>SUM(T8:V8)</f>
        <v>17997</v>
      </c>
      <c r="X8" s="21"/>
      <c r="Y8" s="1" t="s">
        <v>54</v>
      </c>
    </row>
    <row r="9" spans="1:27" ht="45" x14ac:dyDescent="0.25">
      <c r="A9" s="46"/>
      <c r="B9" s="18" t="s">
        <v>12</v>
      </c>
      <c r="C9" s="32" t="s">
        <v>13</v>
      </c>
      <c r="D9" s="21" t="s">
        <v>14</v>
      </c>
      <c r="E9" s="21">
        <v>53</v>
      </c>
      <c r="F9" s="18" t="s">
        <v>24</v>
      </c>
      <c r="G9" s="15"/>
      <c r="H9" s="18">
        <v>267</v>
      </c>
      <c r="I9" s="27">
        <v>36</v>
      </c>
      <c r="J9" s="27">
        <v>107</v>
      </c>
      <c r="K9" s="27">
        <v>454</v>
      </c>
      <c r="L9" s="22">
        <v>2755.32</v>
      </c>
      <c r="M9" s="22">
        <v>459.22</v>
      </c>
      <c r="N9" s="22">
        <f t="shared" si="0"/>
        <v>18828.02</v>
      </c>
      <c r="O9" s="15"/>
      <c r="P9" s="23">
        <f>E9*0.12</f>
        <v>6.3599999999999994</v>
      </c>
      <c r="Q9" s="22">
        <f>P9/H9*1000</f>
        <v>23.82022471910112</v>
      </c>
      <c r="R9" s="22">
        <f t="shared" si="1"/>
        <v>238.2022471910112</v>
      </c>
      <c r="S9" s="19"/>
      <c r="T9" s="23">
        <v>174</v>
      </c>
      <c r="U9" s="23">
        <v>347</v>
      </c>
      <c r="V9" s="23">
        <v>347</v>
      </c>
      <c r="W9" s="33">
        <f>SUM(T9:V9)</f>
        <v>868</v>
      </c>
      <c r="X9" s="21"/>
      <c r="Y9" s="1" t="s">
        <v>55</v>
      </c>
    </row>
    <row r="10" spans="1:27" ht="23.25" customHeight="1" x14ac:dyDescent="0.25">
      <c r="A10" s="36" t="s">
        <v>61</v>
      </c>
      <c r="B10" s="15"/>
      <c r="C10" s="16"/>
      <c r="D10" s="20"/>
      <c r="E10" s="20"/>
      <c r="F10" s="20"/>
      <c r="G10" s="20"/>
      <c r="H10" s="20"/>
      <c r="I10" s="20"/>
      <c r="J10" s="20"/>
      <c r="K10" s="19"/>
      <c r="L10" s="20"/>
      <c r="M10" s="36"/>
      <c r="N10" s="24">
        <f>N9-N8</f>
        <v>-4634.2299999999996</v>
      </c>
      <c r="O10" s="36">
        <f>N10/3</f>
        <v>-1544.7433333333331</v>
      </c>
      <c r="P10" s="36"/>
      <c r="Q10" s="24">
        <f>Q9-Q8</f>
        <v>-120.01977528089888</v>
      </c>
      <c r="R10" s="24">
        <f t="shared" si="1"/>
        <v>-1200.1977528089888</v>
      </c>
      <c r="S10" s="37">
        <f>O10+R10</f>
        <v>-2744.9410861423221</v>
      </c>
      <c r="T10" s="24">
        <f>T9-T8</f>
        <v>-5825</v>
      </c>
      <c r="U10" s="24">
        <f>U9-U8</f>
        <v>-5652</v>
      </c>
      <c r="V10" s="24">
        <f>V9-V8</f>
        <v>-5652</v>
      </c>
      <c r="W10" s="24">
        <f>W9-W8</f>
        <v>-17129</v>
      </c>
      <c r="X10" s="36">
        <f>SUM(S10*3)+W10</f>
        <v>-25363.823258426964</v>
      </c>
    </row>
    <row r="11" spans="1:27" ht="21.75" customHeight="1" x14ac:dyDescent="0.25">
      <c r="A11" s="48"/>
      <c r="B11" s="48"/>
      <c r="D11" s="47" t="s">
        <v>58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Q11" s="42" t="s">
        <v>25</v>
      </c>
      <c r="R11" s="42"/>
      <c r="V11" s="41" t="s">
        <v>49</v>
      </c>
      <c r="W11" s="41"/>
      <c r="X11" s="41"/>
      <c r="Y11" s="41"/>
      <c r="AA11" s="5"/>
    </row>
    <row r="12" spans="1:27" ht="21" customHeight="1" x14ac:dyDescent="0.25">
      <c r="A12" s="39"/>
      <c r="B12" s="39"/>
      <c r="D12" s="39" t="s">
        <v>60</v>
      </c>
      <c r="E12" s="39"/>
      <c r="F12" s="40" t="s">
        <v>17</v>
      </c>
      <c r="G12" s="40"/>
      <c r="H12" s="40"/>
      <c r="I12" s="40"/>
      <c r="J12" s="40"/>
      <c r="K12" s="40"/>
      <c r="L12" s="40"/>
      <c r="M12" s="40"/>
      <c r="N12" s="40"/>
      <c r="O12" s="40"/>
      <c r="P12" s="13"/>
      <c r="Q12" s="41" t="s">
        <v>27</v>
      </c>
      <c r="R12" s="41"/>
      <c r="S12" s="41"/>
      <c r="T12" s="41"/>
      <c r="V12" s="42" t="s">
        <v>56</v>
      </c>
      <c r="W12" s="42"/>
      <c r="X12" s="42"/>
    </row>
    <row r="13" spans="1:27" ht="21" customHeight="1" x14ac:dyDescent="0.25">
      <c r="A13" s="39"/>
      <c r="B13" s="39"/>
      <c r="C13" s="30"/>
      <c r="D13" s="39"/>
      <c r="E13" s="39"/>
      <c r="F13" s="40" t="s">
        <v>18</v>
      </c>
      <c r="G13" s="40"/>
      <c r="H13" s="40"/>
      <c r="I13" s="40"/>
      <c r="J13" s="40"/>
      <c r="K13" s="40"/>
      <c r="L13" s="40"/>
      <c r="M13" s="40"/>
      <c r="N13" s="40"/>
      <c r="O13" s="40"/>
      <c r="P13" s="13"/>
      <c r="Q13" s="30"/>
      <c r="R13" s="30"/>
      <c r="S13" s="30"/>
      <c r="T13" s="30"/>
      <c r="V13" s="28"/>
      <c r="W13" s="28"/>
      <c r="X13" s="28"/>
    </row>
    <row r="14" spans="1:27" ht="18.75" customHeight="1" x14ac:dyDescent="0.25">
      <c r="A14" s="39"/>
      <c r="B14" s="39"/>
      <c r="C14" s="7"/>
      <c r="D14" s="39"/>
      <c r="E14" s="39"/>
      <c r="F14" s="40" t="s">
        <v>57</v>
      </c>
      <c r="G14" s="40"/>
      <c r="H14" s="40"/>
      <c r="I14" s="40"/>
      <c r="J14" s="40"/>
      <c r="K14" s="40"/>
      <c r="L14" s="40"/>
      <c r="M14" s="40"/>
      <c r="N14" s="40"/>
      <c r="O14" s="40"/>
      <c r="P14" s="13"/>
    </row>
    <row r="15" spans="1:27" ht="24" customHeight="1" x14ac:dyDescent="0.25">
      <c r="B15" s="7"/>
      <c r="C15" s="7"/>
      <c r="D15" s="7"/>
      <c r="E15" s="10"/>
      <c r="F15" s="10"/>
      <c r="G15" s="10"/>
      <c r="H15" s="10"/>
      <c r="I15" s="10"/>
      <c r="J15" s="11"/>
      <c r="K15" s="9"/>
      <c r="L15" s="9"/>
      <c r="M15" s="6"/>
    </row>
    <row r="18" spans="2:8" x14ac:dyDescent="0.25">
      <c r="B18" s="38"/>
      <c r="C18" s="39"/>
      <c r="D18" s="39"/>
      <c r="E18" s="39"/>
      <c r="F18" s="39"/>
      <c r="G18" s="39"/>
      <c r="H18" s="39"/>
    </row>
    <row r="19" spans="2:8" x14ac:dyDescent="0.25">
      <c r="B19" s="40"/>
      <c r="C19" s="41"/>
      <c r="D19" s="41"/>
      <c r="E19" s="41"/>
      <c r="F19" s="41"/>
      <c r="G19" s="41"/>
      <c r="H19" s="41"/>
    </row>
    <row r="20" spans="2:8" ht="15" customHeight="1" x14ac:dyDescent="0.25">
      <c r="B20" s="40"/>
      <c r="C20" s="41"/>
      <c r="D20" s="41"/>
      <c r="E20" s="41"/>
      <c r="F20" s="41"/>
      <c r="G20" s="41"/>
      <c r="H20" s="41"/>
    </row>
    <row r="21" spans="2:8" ht="17.25" customHeight="1" x14ac:dyDescent="0.25"/>
  </sheetData>
  <mergeCells count="17">
    <mergeCell ref="A2:A3"/>
    <mergeCell ref="A5:A6"/>
    <mergeCell ref="A8:A9"/>
    <mergeCell ref="F12:O12"/>
    <mergeCell ref="F13:O13"/>
    <mergeCell ref="D11:O11"/>
    <mergeCell ref="A11:B12"/>
    <mergeCell ref="A13:B14"/>
    <mergeCell ref="D12:E14"/>
    <mergeCell ref="B18:H18"/>
    <mergeCell ref="B19:H19"/>
    <mergeCell ref="B20:H20"/>
    <mergeCell ref="V11:Y11"/>
    <mergeCell ref="V12:X12"/>
    <mergeCell ref="Q12:T12"/>
    <mergeCell ref="F14:O14"/>
    <mergeCell ref="Q11:R11"/>
  </mergeCells>
  <hyperlinks>
    <hyperlink ref="C8" r:id="rId1" xr:uid="{18A01CD8-F3FD-4166-9550-ED5F7103A774}"/>
    <hyperlink ref="C9" r:id="rId2" xr:uid="{9BE0F37B-2E4A-4A34-A183-2A3C638948AD}"/>
    <hyperlink ref="C6" r:id="rId3" xr:uid="{DD81586C-0F5F-4707-A98F-26BF31111329}"/>
    <hyperlink ref="C2" r:id="rId4" xr:uid="{1EA16D9A-B368-4E4F-974B-D49260B6E3E8}"/>
    <hyperlink ref="C3" r:id="rId5" xr:uid="{0D29726B-A8E3-4E96-B2D1-34A5A64D6D22}"/>
    <hyperlink ref="C5" r:id="rId6" xr:uid="{A8BA1CFE-6EB5-46BC-AAA3-FA4565FCF226}"/>
    <hyperlink ref="F12" r:id="rId7" xr:uid="{A4C1E7C3-3695-473F-945C-E5913EB40D19}"/>
    <hyperlink ref="F13" r:id="rId8" xr:uid="{F9E72DD3-8265-447B-8C1B-72FAB5A78E7B}"/>
    <hyperlink ref="F14" r:id="rId9" xr:uid="{49CD48D8-881D-4313-9ACD-5570A607F912}"/>
  </hyperlinks>
  <pageMargins left="0.15748031496062992" right="0.15748031496062992" top="0.74803149606299213" bottom="0.15748031496062992" header="0.31496062992125984" footer="0.31496062992125984"/>
  <pageSetup paperSize="9" orientation="landscape" horizontalDpi="0" verticalDpi="0" r:id="rId10"/>
  <headerFooter>
    <oddHeader xml:space="preserve">&amp;C&amp;"-,Bold"ELECTRIC / FUEL CAR LEASE COST COMPARISON 23 JUNE 2021&amp;R </oddHeader>
  </headerFooter>
  <drawing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F111BD4C62004EA786E5FDAB22FC76" ma:contentTypeVersion="10" ma:contentTypeDescription="Create a new document." ma:contentTypeScope="" ma:versionID="35799501de0f7c110fd856facd78c013">
  <xsd:schema xmlns:xsd="http://www.w3.org/2001/XMLSchema" xmlns:xs="http://www.w3.org/2001/XMLSchema" xmlns:p="http://schemas.microsoft.com/office/2006/metadata/properties" xmlns:ns2="990a1cbd-3483-47c2-a144-89202a48f9df" targetNamespace="http://schemas.microsoft.com/office/2006/metadata/properties" ma:root="true" ma:fieldsID="fd8fccc753f1810d3071157d906c1ad4" ns2:_="">
    <xsd:import namespace="990a1cbd-3483-47c2-a144-89202a48f9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1cbd-3483-47c2-a144-89202a48f9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61FE2A-556E-4ED3-955F-2043F74B68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43A422-340B-497D-BEBD-85525F758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1cbd-3483-47c2-a144-89202a48f9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5308CC-CCC4-4289-A321-4076DDD535E3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90a1cbd-3483-47c2-a144-89202a48f9df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Suzy</dc:creator>
  <cp:lastModifiedBy>Suzy</cp:lastModifiedBy>
  <cp:lastPrinted>2021-06-23T10:17:57Z</cp:lastPrinted>
  <dcterms:created xsi:type="dcterms:W3CDTF">2021-01-27T16:13:12Z</dcterms:created>
  <dcterms:modified xsi:type="dcterms:W3CDTF">2021-06-23T16:35:10Z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0x01010074F111BD4C62004EA786E5FDAB22FC76</vt:lpwstr>
  </property>
</Properties>
</file>